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dna-cifs.kdmc.local\users\20000502\My Documents\"/>
    </mc:Choice>
  </mc:AlternateContent>
  <bookViews>
    <workbookView xWindow="0" yWindow="0" windowWidth="38400" windowHeight="17100"/>
  </bookViews>
  <sheets>
    <sheet name="Dashboard (2)" sheetId="1" r:id="rId1"/>
  </sheets>
  <definedNames>
    <definedName name="_xlnm.Print_Area" localSheetId="0">'Dashboard (2)'!$A$1:$N$38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B34" i="1"/>
  <c r="B35" i="1" s="1"/>
  <c r="D33" i="1"/>
  <c r="C33" i="1"/>
  <c r="B33" i="1"/>
  <c r="D32" i="1"/>
  <c r="C32" i="1"/>
  <c r="B32" i="1"/>
  <c r="D31" i="1"/>
  <c r="D34" i="1" s="1"/>
  <c r="C31" i="1"/>
  <c r="C34" i="1" s="1"/>
  <c r="C35" i="1" s="1"/>
  <c r="B31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M23" i="1" s="1"/>
  <c r="L20" i="1"/>
  <c r="L23" i="1" s="1"/>
  <c r="K20" i="1"/>
  <c r="K23" i="1" s="1"/>
  <c r="K24" i="1" s="1"/>
  <c r="J20" i="1"/>
  <c r="J23" i="1" s="1"/>
  <c r="I20" i="1"/>
  <c r="I23" i="1" s="1"/>
  <c r="H20" i="1"/>
  <c r="H23" i="1" s="1"/>
  <c r="G20" i="1"/>
  <c r="G23" i="1" s="1"/>
  <c r="G24" i="1" s="1"/>
  <c r="F20" i="1"/>
  <c r="F23" i="1" s="1"/>
  <c r="E20" i="1"/>
  <c r="E23" i="1" s="1"/>
  <c r="D20" i="1"/>
  <c r="D23" i="1" s="1"/>
  <c r="C20" i="1"/>
  <c r="C23" i="1" s="1"/>
  <c r="C24" i="1" s="1"/>
  <c r="B20" i="1"/>
  <c r="B23" i="1" s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M12" i="1" s="1"/>
  <c r="L9" i="1"/>
  <c r="L12" i="1" s="1"/>
  <c r="K9" i="1"/>
  <c r="K12" i="1" s="1"/>
  <c r="J9" i="1"/>
  <c r="J12" i="1" s="1"/>
  <c r="J13" i="1" s="1"/>
  <c r="I9" i="1"/>
  <c r="I12" i="1" s="1"/>
  <c r="H9" i="1"/>
  <c r="H12" i="1" s="1"/>
  <c r="G9" i="1"/>
  <c r="G12" i="1" s="1"/>
  <c r="F9" i="1"/>
  <c r="F12" i="1" s="1"/>
  <c r="F13" i="1" s="1"/>
  <c r="E9" i="1"/>
  <c r="E12" i="1" s="1"/>
  <c r="D9" i="1"/>
  <c r="D12" i="1" s="1"/>
  <c r="C9" i="1"/>
  <c r="C12" i="1" s="1"/>
  <c r="B9" i="1"/>
  <c r="B12" i="1" s="1"/>
  <c r="C13" i="1" l="1"/>
  <c r="K13" i="1"/>
  <c r="D24" i="1"/>
  <c r="H24" i="1"/>
  <c r="L24" i="1"/>
  <c r="D13" i="1"/>
  <c r="H13" i="1"/>
  <c r="L13" i="1"/>
  <c r="E24" i="1"/>
  <c r="I24" i="1"/>
  <c r="M24" i="1"/>
  <c r="E13" i="1"/>
  <c r="I13" i="1"/>
  <c r="M13" i="1"/>
  <c r="B24" i="1"/>
  <c r="F24" i="1"/>
  <c r="J24" i="1"/>
  <c r="N35" i="1"/>
  <c r="G13" i="1"/>
  <c r="D35" i="1"/>
  <c r="N13" i="1" l="1"/>
  <c r="N24" i="1"/>
</calcChain>
</file>

<file path=xl/sharedStrings.xml><?xml version="1.0" encoding="utf-8"?>
<sst xmlns="http://schemas.openxmlformats.org/spreadsheetml/2006/main" count="30" uniqueCount="12">
  <si>
    <t>King's Daughters Health System</t>
  </si>
  <si>
    <t xml:space="preserve">PB Distributed Credit Balance Control </t>
  </si>
  <si>
    <t>Updated:   04/10/23</t>
  </si>
  <si>
    <t>PB Insurance Service Credits</t>
  </si>
  <si>
    <t>PB Self-Pay Service Credits</t>
  </si>
  <si>
    <t>Legacy 20</t>
  </si>
  <si>
    <t>Legacy 30</t>
  </si>
  <si>
    <t>Legacy 50</t>
  </si>
  <si>
    <t>Total</t>
  </si>
  <si>
    <t>Change</t>
  </si>
  <si>
    <t>Inventory Count</t>
  </si>
  <si>
    <t>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</si>
</sst>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4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0" xfId="1" applyNumberFormat="1" applyFont="1"/>
    <xf numFmtId="164" fontId="3" fillId="0" borderId="6" xfId="1" applyNumberFormat="1" applyFont="1" applyBorder="1"/>
    <xf numFmtId="164" fontId="3" fillId="0" borderId="7" xfId="1" applyNumberFormat="1" applyFont="1" applyBorder="1"/>
    <xf numFmtId="0" fontId="5" fillId="0" borderId="0" xfId="0" applyFont="1"/>
    <xf numFmtId="0" fontId="3" fillId="2" borderId="8" xfId="0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5" fillId="2" borderId="11" xfId="0" applyNumberFormat="1" applyFont="1" applyFill="1" applyBorder="1"/>
    <xf numFmtId="164" fontId="6" fillId="3" borderId="0" xfId="1" applyNumberFormat="1" applyFont="1" applyFill="1" applyBorder="1"/>
    <xf numFmtId="3" fontId="6" fillId="3" borderId="0" xfId="0" applyNumberFormat="1" applyFont="1" applyFill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6" fillId="3" borderId="0" xfId="1" applyNumberFormat="1" applyFont="1" applyFill="1"/>
    <xf numFmtId="164" fontId="3" fillId="2" borderId="8" xfId="1" applyNumberFormat="1" applyFont="1" applyFill="1" applyBorder="1"/>
    <xf numFmtId="164" fontId="7" fillId="0" borderId="0" xfId="0" applyNumberFormat="1" applyFont="1" applyFill="1" applyBorder="1"/>
    <xf numFmtId="164" fontId="7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90" zoomScaleNormal="90" workbookViewId="0">
      <selection activeCell="A4" sqref="A4"/>
    </sheetView>
  </sheetViews>
  <sheetFormatPr defaultColWidth="9.109375" defaultRowHeight="13.8" x14ac:dyDescent="0.25"/>
  <cols>
    <col min="1" max="1" width="30.88671875" style="2" customWidth="1"/>
    <col min="2" max="13" width="12.6640625" style="2" customWidth="1"/>
    <col min="14" max="14" width="14.6640625" style="2" bestFit="1" customWidth="1"/>
    <col min="15" max="15" width="10.109375" style="2" bestFit="1" customWidth="1"/>
    <col min="16" max="18" width="9.109375" style="2"/>
    <col min="19" max="22" width="12.5546875" style="2" bestFit="1" customWidth="1"/>
    <col min="23" max="23" width="14.33203125" style="2" bestFit="1" customWidth="1"/>
    <col min="24" max="16384" width="9.109375" style="2"/>
  </cols>
  <sheetData>
    <row r="1" spans="1:14" ht="20.399999999999999" x14ac:dyDescent="0.35">
      <c r="A1" s="1" t="s">
        <v>0</v>
      </c>
    </row>
    <row r="2" spans="1:14" ht="20.399999999999999" x14ac:dyDescent="0.35">
      <c r="A2" s="1" t="s">
        <v>1</v>
      </c>
    </row>
    <row r="3" spans="1:14" ht="20.399999999999999" x14ac:dyDescent="0.35">
      <c r="A3" s="3" t="s">
        <v>2</v>
      </c>
    </row>
    <row r="5" spans="1:14" ht="14.4" thickBot="1" x14ac:dyDescent="0.3"/>
    <row r="6" spans="1:14" ht="15.6" x14ac:dyDescent="0.3">
      <c r="A6" s="18">
        <v>2021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20">
        <v>12</v>
      </c>
    </row>
    <row r="7" spans="1:14" s="7" customFormat="1" x14ac:dyDescent="0.25">
      <c r="A7" s="4" t="s">
        <v>3</v>
      </c>
      <c r="B7" s="5">
        <v>2163037</v>
      </c>
      <c r="C7" s="5">
        <v>2083569</v>
      </c>
      <c r="D7" s="5">
        <v>1790505</v>
      </c>
      <c r="E7" s="5">
        <v>1781857</v>
      </c>
      <c r="F7" s="5">
        <v>1747601</v>
      </c>
      <c r="G7" s="5">
        <v>1507633</v>
      </c>
      <c r="H7" s="5">
        <v>1465826</v>
      </c>
      <c r="I7" s="5">
        <v>1486796</v>
      </c>
      <c r="J7" s="5">
        <v>1552816</v>
      </c>
      <c r="K7" s="5">
        <v>1512939</v>
      </c>
      <c r="L7" s="5">
        <v>1588194</v>
      </c>
      <c r="M7" s="6">
        <v>1781626</v>
      </c>
    </row>
    <row r="8" spans="1:14" s="7" customFormat="1" x14ac:dyDescent="0.25">
      <c r="A8" s="4" t="s">
        <v>4</v>
      </c>
      <c r="B8" s="5">
        <v>389977</v>
      </c>
      <c r="C8" s="5">
        <v>390759</v>
      </c>
      <c r="D8" s="5">
        <v>414724</v>
      </c>
      <c r="E8" s="5">
        <v>482815</v>
      </c>
      <c r="F8" s="5">
        <v>352465</v>
      </c>
      <c r="G8" s="5">
        <v>360462</v>
      </c>
      <c r="H8" s="5">
        <v>361345</v>
      </c>
      <c r="I8" s="5">
        <v>363402</v>
      </c>
      <c r="J8" s="5">
        <v>374373</v>
      </c>
      <c r="K8" s="5">
        <v>399027</v>
      </c>
      <c r="L8" s="5">
        <v>371885</v>
      </c>
      <c r="M8" s="6">
        <v>383756</v>
      </c>
    </row>
    <row r="9" spans="1:14" s="7" customFormat="1" x14ac:dyDescent="0.25">
      <c r="A9" s="4" t="s">
        <v>5</v>
      </c>
      <c r="B9" s="5">
        <f>150216+1034</f>
        <v>151250</v>
      </c>
      <c r="C9" s="5">
        <f>150302+1034</f>
        <v>151336</v>
      </c>
      <c r="D9" s="5">
        <f>1079+150302</f>
        <v>151381</v>
      </c>
      <c r="E9" s="5">
        <f>1079+150302</f>
        <v>151381</v>
      </c>
      <c r="F9" s="5">
        <f>1089+150302</f>
        <v>151391</v>
      </c>
      <c r="G9" s="5">
        <f>1089+150302</f>
        <v>151391</v>
      </c>
      <c r="H9" s="5">
        <f>1089+151786</f>
        <v>152875</v>
      </c>
      <c r="I9" s="5">
        <f>151786+1089</f>
        <v>152875</v>
      </c>
      <c r="J9" s="5">
        <f>151780+1119</f>
        <v>152899</v>
      </c>
      <c r="K9" s="5">
        <f>151780+1154</f>
        <v>152934</v>
      </c>
      <c r="L9" s="5">
        <f>151780+1154</f>
        <v>152934</v>
      </c>
      <c r="M9" s="6">
        <f>150296+1229</f>
        <v>151525</v>
      </c>
    </row>
    <row r="10" spans="1:14" s="7" customFormat="1" x14ac:dyDescent="0.25">
      <c r="A10" s="4" t="s">
        <v>6</v>
      </c>
      <c r="B10" s="5">
        <f>331701+579536</f>
        <v>911237</v>
      </c>
      <c r="C10" s="5">
        <f>544452+331049</f>
        <v>875501</v>
      </c>
      <c r="D10" s="5">
        <f>509612+330053</f>
        <v>839665</v>
      </c>
      <c r="E10" s="5">
        <f>508635+330481</f>
        <v>839116</v>
      </c>
      <c r="F10" s="5">
        <f>301009+513751</f>
        <v>814760</v>
      </c>
      <c r="G10" s="5">
        <f>656282+305965</f>
        <v>962247</v>
      </c>
      <c r="H10" s="5">
        <f>664761+306368</f>
        <v>971129</v>
      </c>
      <c r="I10" s="5">
        <f>664865+305315</f>
        <v>970180</v>
      </c>
      <c r="J10" s="5">
        <f>665161+304635</f>
        <v>969796</v>
      </c>
      <c r="K10" s="5">
        <f>612514+304605</f>
        <v>917119</v>
      </c>
      <c r="L10" s="5">
        <f>584324+219760</f>
        <v>804084</v>
      </c>
      <c r="M10" s="6">
        <f>569845+161139</f>
        <v>730984</v>
      </c>
    </row>
    <row r="11" spans="1:14" s="7" customFormat="1" x14ac:dyDescent="0.25">
      <c r="A11" s="4" t="s">
        <v>7</v>
      </c>
      <c r="B11" s="5">
        <f>27520+29810</f>
        <v>57330</v>
      </c>
      <c r="C11" s="5">
        <f>26759+29535</f>
        <v>56294</v>
      </c>
      <c r="D11" s="5">
        <f>29414+26431</f>
        <v>55845</v>
      </c>
      <c r="E11" s="5">
        <f>26135+29197</f>
        <v>55332</v>
      </c>
      <c r="F11" s="5">
        <f>29254+23431</f>
        <v>52685</v>
      </c>
      <c r="G11" s="5">
        <f>29353+23298</f>
        <v>52651</v>
      </c>
      <c r="H11" s="5">
        <f>29719+23278</f>
        <v>52997</v>
      </c>
      <c r="I11" s="5">
        <f>29825+23208</f>
        <v>53033</v>
      </c>
      <c r="J11" s="5">
        <f>29901+23154</f>
        <v>53055</v>
      </c>
      <c r="K11" s="5">
        <f>23124+29921</f>
        <v>53045</v>
      </c>
      <c r="L11" s="5">
        <f>23124+29681</f>
        <v>52805</v>
      </c>
      <c r="M11" s="6">
        <f>29080+23066</f>
        <v>52146</v>
      </c>
    </row>
    <row r="12" spans="1:14" s="7" customFormat="1" ht="14.4" thickBot="1" x14ac:dyDescent="0.3">
      <c r="A12" s="4" t="s">
        <v>8</v>
      </c>
      <c r="B12" s="8">
        <f t="shared" ref="B12:M12" si="0">SUM(B7:B11)</f>
        <v>3672831</v>
      </c>
      <c r="C12" s="8">
        <f t="shared" si="0"/>
        <v>3557459</v>
      </c>
      <c r="D12" s="8">
        <f t="shared" si="0"/>
        <v>3252120</v>
      </c>
      <c r="E12" s="8">
        <f t="shared" si="0"/>
        <v>3310501</v>
      </c>
      <c r="F12" s="8">
        <f t="shared" si="0"/>
        <v>3118902</v>
      </c>
      <c r="G12" s="8">
        <f t="shared" si="0"/>
        <v>3034384</v>
      </c>
      <c r="H12" s="8">
        <f t="shared" si="0"/>
        <v>3004172</v>
      </c>
      <c r="I12" s="8">
        <f t="shared" si="0"/>
        <v>3026286</v>
      </c>
      <c r="J12" s="8">
        <f t="shared" si="0"/>
        <v>3102939</v>
      </c>
      <c r="K12" s="8">
        <f t="shared" si="0"/>
        <v>3035064</v>
      </c>
      <c r="L12" s="8">
        <f t="shared" si="0"/>
        <v>2969902</v>
      </c>
      <c r="M12" s="9">
        <f t="shared" si="0"/>
        <v>3100037</v>
      </c>
    </row>
    <row r="13" spans="1:14" ht="15" thickTop="1" thickBot="1" x14ac:dyDescent="0.3">
      <c r="A13" s="11" t="s">
        <v>9</v>
      </c>
      <c r="B13" s="12"/>
      <c r="C13" s="13">
        <f>C12-B12</f>
        <v>-115372</v>
      </c>
      <c r="D13" s="13">
        <f t="shared" ref="D13:M13" si="1">D12-C12</f>
        <v>-305339</v>
      </c>
      <c r="E13" s="13">
        <f t="shared" si="1"/>
        <v>58381</v>
      </c>
      <c r="F13" s="13">
        <f t="shared" si="1"/>
        <v>-191599</v>
      </c>
      <c r="G13" s="13">
        <f t="shared" si="1"/>
        <v>-84518</v>
      </c>
      <c r="H13" s="13">
        <f t="shared" si="1"/>
        <v>-30212</v>
      </c>
      <c r="I13" s="13">
        <f t="shared" si="1"/>
        <v>22114</v>
      </c>
      <c r="J13" s="13">
        <f t="shared" si="1"/>
        <v>76653</v>
      </c>
      <c r="K13" s="13">
        <f t="shared" si="1"/>
        <v>-67875</v>
      </c>
      <c r="L13" s="13">
        <f t="shared" si="1"/>
        <v>-65162</v>
      </c>
      <c r="M13" s="14">
        <f t="shared" si="1"/>
        <v>130135</v>
      </c>
      <c r="N13" s="15">
        <f>SUM(C13:M13)</f>
        <v>-572794</v>
      </c>
    </row>
    <row r="14" spans="1:14" ht="14.4" x14ac:dyDescent="0.3">
      <c r="A14" s="16" t="s">
        <v>10</v>
      </c>
      <c r="B14" s="17"/>
      <c r="C14" s="17">
        <v>61160</v>
      </c>
      <c r="D14" s="17">
        <v>60670</v>
      </c>
      <c r="E14" s="17">
        <v>60981</v>
      </c>
      <c r="F14" s="17">
        <v>57687</v>
      </c>
      <c r="G14" s="17">
        <v>52675</v>
      </c>
      <c r="H14" s="17">
        <v>51996</v>
      </c>
      <c r="I14" s="17">
        <v>51848</v>
      </c>
      <c r="J14" s="17">
        <v>52514</v>
      </c>
      <c r="K14" s="17">
        <v>53551</v>
      </c>
      <c r="L14" s="17">
        <v>52604</v>
      </c>
      <c r="M14" s="17">
        <v>55299</v>
      </c>
      <c r="N14" s="23"/>
    </row>
    <row r="15" spans="1:14" ht="14.4" x14ac:dyDescent="0.3">
      <c r="A15" s="16" t="s">
        <v>11</v>
      </c>
      <c r="B15" s="21"/>
      <c r="C15" s="21">
        <v>601885</v>
      </c>
      <c r="D15" s="21">
        <v>660485</v>
      </c>
      <c r="E15" s="21">
        <v>704776</v>
      </c>
      <c r="F15" s="21">
        <v>725244</v>
      </c>
      <c r="G15" s="21">
        <v>722821</v>
      </c>
      <c r="H15" s="21">
        <v>712627</v>
      </c>
      <c r="I15" s="21">
        <v>722425</v>
      </c>
      <c r="J15" s="21">
        <v>720902</v>
      </c>
      <c r="K15" s="21">
        <v>731781</v>
      </c>
      <c r="L15" s="21">
        <v>726911</v>
      </c>
      <c r="M15" s="21">
        <v>745699</v>
      </c>
      <c r="N15" s="24"/>
    </row>
    <row r="16" spans="1:14" ht="14.4" thickBot="1" x14ac:dyDescent="0.3">
      <c r="N16" s="10"/>
    </row>
    <row r="17" spans="1:14" ht="15.6" x14ac:dyDescent="0.3">
      <c r="A17" s="18">
        <v>2022</v>
      </c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20">
        <v>12</v>
      </c>
      <c r="N17" s="10"/>
    </row>
    <row r="18" spans="1:14" x14ac:dyDescent="0.25">
      <c r="A18" s="4" t="s">
        <v>3</v>
      </c>
      <c r="B18" s="5">
        <v>1850897</v>
      </c>
      <c r="C18" s="5">
        <v>1892418</v>
      </c>
      <c r="D18" s="5">
        <v>1948331</v>
      </c>
      <c r="E18" s="5">
        <v>2025879</v>
      </c>
      <c r="F18" s="5">
        <v>2031449</v>
      </c>
      <c r="G18" s="5">
        <v>2139148</v>
      </c>
      <c r="H18" s="5">
        <v>2484570</v>
      </c>
      <c r="I18" s="5">
        <v>2399976</v>
      </c>
      <c r="J18" s="5">
        <v>2381518</v>
      </c>
      <c r="K18" s="5">
        <v>2436439</v>
      </c>
      <c r="L18" s="5">
        <v>2694366</v>
      </c>
      <c r="M18" s="6">
        <v>2592017</v>
      </c>
      <c r="N18" s="10"/>
    </row>
    <row r="19" spans="1:14" x14ac:dyDescent="0.25">
      <c r="A19" s="4" t="s">
        <v>4</v>
      </c>
      <c r="B19" s="5">
        <v>391750</v>
      </c>
      <c r="C19" s="5">
        <v>403958</v>
      </c>
      <c r="D19" s="5">
        <v>432992</v>
      </c>
      <c r="E19" s="5">
        <v>479556</v>
      </c>
      <c r="F19" s="5">
        <v>531124</v>
      </c>
      <c r="G19" s="5">
        <v>541730</v>
      </c>
      <c r="H19" s="5">
        <v>560972</v>
      </c>
      <c r="I19" s="5">
        <v>581899</v>
      </c>
      <c r="J19" s="5">
        <v>611215</v>
      </c>
      <c r="K19" s="5">
        <v>609019</v>
      </c>
      <c r="L19" s="5">
        <v>575780</v>
      </c>
      <c r="M19" s="6">
        <v>604490</v>
      </c>
      <c r="N19" s="10"/>
    </row>
    <row r="20" spans="1:14" x14ac:dyDescent="0.25">
      <c r="A20" s="4" t="s">
        <v>5</v>
      </c>
      <c r="B20" s="5">
        <f>150296+1229</f>
        <v>151525</v>
      </c>
      <c r="C20" s="5">
        <f>150296+1229</f>
        <v>151525</v>
      </c>
      <c r="D20" s="5">
        <f>150296+1006</f>
        <v>151302</v>
      </c>
      <c r="E20" s="5">
        <f>147120+977</f>
        <v>148097</v>
      </c>
      <c r="F20" s="5">
        <f>147120+977</f>
        <v>148097</v>
      </c>
      <c r="G20" s="5">
        <f>146618+997</f>
        <v>147615</v>
      </c>
      <c r="H20" s="5">
        <f>146618+997</f>
        <v>147615</v>
      </c>
      <c r="I20" s="5">
        <f>146618+1012</f>
        <v>147630</v>
      </c>
      <c r="J20" s="5">
        <f>146618+1147</f>
        <v>147765</v>
      </c>
      <c r="K20" s="5">
        <f>146618+1055</f>
        <v>147673</v>
      </c>
      <c r="L20" s="5">
        <f>146618+1055</f>
        <v>147673</v>
      </c>
      <c r="M20" s="6">
        <f>146618+1055</f>
        <v>147673</v>
      </c>
      <c r="N20" s="10"/>
    </row>
    <row r="21" spans="1:14" x14ac:dyDescent="0.25">
      <c r="A21" s="4" t="s">
        <v>6</v>
      </c>
      <c r="B21" s="5">
        <f>554532+157349</f>
        <v>711881</v>
      </c>
      <c r="C21" s="5">
        <f>538103+152983</f>
        <v>691086</v>
      </c>
      <c r="D21" s="5">
        <f>533132+140009</f>
        <v>673141</v>
      </c>
      <c r="E21" s="5">
        <f>492187+134385</f>
        <v>626572</v>
      </c>
      <c r="F21" s="5">
        <f>479362+134685</f>
        <v>614047</v>
      </c>
      <c r="G21" s="5">
        <f>458589+133969</f>
        <v>592558</v>
      </c>
      <c r="H21" s="5">
        <f>455626+134097</f>
        <v>589723</v>
      </c>
      <c r="I21" s="5">
        <f>444797+133763</f>
        <v>578560</v>
      </c>
      <c r="J21" s="5">
        <f>133774+436854</f>
        <v>570628</v>
      </c>
      <c r="K21" s="5">
        <f>433504+133902</f>
        <v>567406</v>
      </c>
      <c r="L21" s="5">
        <f>405314+133747</f>
        <v>539061</v>
      </c>
      <c r="M21" s="6">
        <f>388925+133363</f>
        <v>522288</v>
      </c>
      <c r="N21" s="10"/>
    </row>
    <row r="22" spans="1:14" x14ac:dyDescent="0.25">
      <c r="A22" s="4" t="s">
        <v>7</v>
      </c>
      <c r="B22" s="5">
        <f>22942+29290</f>
        <v>52232</v>
      </c>
      <c r="C22" s="5">
        <f>22942+29291</f>
        <v>52233</v>
      </c>
      <c r="D22" s="5">
        <f>22345+29553</f>
        <v>51898</v>
      </c>
      <c r="E22" s="5">
        <f>21604+29650</f>
        <v>51254</v>
      </c>
      <c r="F22" s="5">
        <f>21091+29590</f>
        <v>50681</v>
      </c>
      <c r="G22" s="5">
        <f>21091+29590</f>
        <v>50681</v>
      </c>
      <c r="H22" s="5">
        <f>29590+20832</f>
        <v>50422</v>
      </c>
      <c r="I22" s="5">
        <f>29448+20662</f>
        <v>50110</v>
      </c>
      <c r="J22" s="5">
        <f>29240+20579</f>
        <v>49819</v>
      </c>
      <c r="K22" s="5">
        <f>20579+29240</f>
        <v>49819</v>
      </c>
      <c r="L22" s="5">
        <f>20579+29240</f>
        <v>49819</v>
      </c>
      <c r="M22" s="6">
        <f>20579+29840</f>
        <v>50419</v>
      </c>
      <c r="N22" s="10"/>
    </row>
    <row r="23" spans="1:14" ht="14.4" thickBot="1" x14ac:dyDescent="0.3">
      <c r="A23" s="4" t="s">
        <v>8</v>
      </c>
      <c r="B23" s="8">
        <f t="shared" ref="B23:M23" si="2">SUM(B18:B22)</f>
        <v>3158285</v>
      </c>
      <c r="C23" s="8">
        <f t="shared" si="2"/>
        <v>3191220</v>
      </c>
      <c r="D23" s="8">
        <f t="shared" si="2"/>
        <v>3257664</v>
      </c>
      <c r="E23" s="8">
        <f t="shared" si="2"/>
        <v>3331358</v>
      </c>
      <c r="F23" s="8">
        <f t="shared" si="2"/>
        <v>3375398</v>
      </c>
      <c r="G23" s="8">
        <f t="shared" si="2"/>
        <v>3471732</v>
      </c>
      <c r="H23" s="8">
        <f t="shared" si="2"/>
        <v>3833302</v>
      </c>
      <c r="I23" s="8">
        <f t="shared" si="2"/>
        <v>3758175</v>
      </c>
      <c r="J23" s="8">
        <f t="shared" si="2"/>
        <v>3760945</v>
      </c>
      <c r="K23" s="8">
        <f t="shared" si="2"/>
        <v>3810356</v>
      </c>
      <c r="L23" s="8">
        <f t="shared" si="2"/>
        <v>4006699</v>
      </c>
      <c r="M23" s="9">
        <f t="shared" si="2"/>
        <v>3916887</v>
      </c>
      <c r="N23" s="10"/>
    </row>
    <row r="24" spans="1:14" ht="15" thickTop="1" thickBot="1" x14ac:dyDescent="0.3">
      <c r="A24" s="22" t="s">
        <v>9</v>
      </c>
      <c r="B24" s="13">
        <f>B23-M12</f>
        <v>58248</v>
      </c>
      <c r="C24" s="13">
        <f>C23-B23</f>
        <v>32935</v>
      </c>
      <c r="D24" s="13">
        <f t="shared" ref="D24:M24" si="3">D23-C23</f>
        <v>66444</v>
      </c>
      <c r="E24" s="13">
        <f t="shared" si="3"/>
        <v>73694</v>
      </c>
      <c r="F24" s="13">
        <f t="shared" si="3"/>
        <v>44040</v>
      </c>
      <c r="G24" s="13">
        <f t="shared" si="3"/>
        <v>96334</v>
      </c>
      <c r="H24" s="13">
        <f t="shared" si="3"/>
        <v>361570</v>
      </c>
      <c r="I24" s="13">
        <f t="shared" si="3"/>
        <v>-75127</v>
      </c>
      <c r="J24" s="13">
        <f t="shared" si="3"/>
        <v>2770</v>
      </c>
      <c r="K24" s="13">
        <f t="shared" si="3"/>
        <v>49411</v>
      </c>
      <c r="L24" s="13">
        <f t="shared" si="3"/>
        <v>196343</v>
      </c>
      <c r="M24" s="14">
        <f t="shared" si="3"/>
        <v>-89812</v>
      </c>
      <c r="N24" s="15">
        <f>SUM(B24:M24)</f>
        <v>816850</v>
      </c>
    </row>
    <row r="25" spans="1:14" ht="14.4" x14ac:dyDescent="0.3">
      <c r="A25" s="16" t="s">
        <v>10</v>
      </c>
      <c r="B25" s="17">
        <v>55886</v>
      </c>
      <c r="C25" s="17">
        <v>55612</v>
      </c>
      <c r="D25" s="17">
        <v>56585</v>
      </c>
      <c r="E25" s="17">
        <v>57345</v>
      </c>
      <c r="F25" s="17">
        <v>58295</v>
      </c>
      <c r="G25" s="17">
        <v>59516</v>
      </c>
      <c r="H25" s="17">
        <v>66269</v>
      </c>
      <c r="I25" s="17">
        <v>67996</v>
      </c>
      <c r="J25" s="17">
        <v>69273</v>
      </c>
      <c r="K25" s="17">
        <v>70478</v>
      </c>
      <c r="L25" s="17">
        <v>70963</v>
      </c>
      <c r="M25" s="17">
        <v>73024</v>
      </c>
      <c r="N25" s="23"/>
    </row>
    <row r="26" spans="1:14" x14ac:dyDescent="0.25">
      <c r="A26" s="16" t="s">
        <v>11</v>
      </c>
      <c r="B26" s="21">
        <v>737482</v>
      </c>
      <c r="C26" s="21">
        <v>777873</v>
      </c>
      <c r="D26" s="21">
        <v>835782</v>
      </c>
      <c r="E26" s="21">
        <v>917063</v>
      </c>
      <c r="F26" s="21">
        <v>914364</v>
      </c>
      <c r="G26" s="21">
        <v>908004</v>
      </c>
      <c r="H26" s="21">
        <v>850255</v>
      </c>
      <c r="I26" s="21">
        <v>850809</v>
      </c>
      <c r="J26" s="21">
        <v>878662</v>
      </c>
      <c r="K26" s="21">
        <v>931204</v>
      </c>
      <c r="L26" s="21">
        <v>979465</v>
      </c>
      <c r="M26" s="21">
        <v>1024487</v>
      </c>
      <c r="N26" s="10"/>
    </row>
    <row r="27" spans="1:14" ht="14.4" thickBot="1" x14ac:dyDescent="0.3">
      <c r="N27" s="10"/>
    </row>
    <row r="28" spans="1:14" ht="15.6" x14ac:dyDescent="0.3">
      <c r="A28" s="18">
        <v>2023</v>
      </c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  <c r="L28" s="19">
        <v>11</v>
      </c>
      <c r="M28" s="20">
        <v>12</v>
      </c>
      <c r="N28" s="10"/>
    </row>
    <row r="29" spans="1:14" x14ac:dyDescent="0.25">
      <c r="A29" s="4" t="s">
        <v>3</v>
      </c>
      <c r="B29" s="5">
        <v>2680978</v>
      </c>
      <c r="C29" s="5">
        <v>2792239</v>
      </c>
      <c r="D29" s="5">
        <v>2857581</v>
      </c>
      <c r="E29" s="5"/>
      <c r="F29" s="5"/>
      <c r="G29" s="5"/>
      <c r="H29" s="5"/>
      <c r="I29" s="5"/>
      <c r="J29" s="5"/>
      <c r="K29" s="5"/>
      <c r="L29" s="5"/>
      <c r="M29" s="6"/>
      <c r="N29" s="10"/>
    </row>
    <row r="30" spans="1:14" x14ac:dyDescent="0.25">
      <c r="A30" s="4" t="s">
        <v>4</v>
      </c>
      <c r="B30" s="5">
        <v>592557</v>
      </c>
      <c r="C30" s="5">
        <v>568184</v>
      </c>
      <c r="D30" s="5">
        <v>566279</v>
      </c>
      <c r="E30" s="5"/>
      <c r="F30" s="5"/>
      <c r="G30" s="5"/>
      <c r="H30" s="5"/>
      <c r="I30" s="5"/>
      <c r="J30" s="5"/>
      <c r="K30" s="5"/>
      <c r="L30" s="5"/>
      <c r="M30" s="6"/>
      <c r="N30" s="10"/>
    </row>
    <row r="31" spans="1:14" x14ac:dyDescent="0.25">
      <c r="A31" s="4" t="s">
        <v>5</v>
      </c>
      <c r="B31" s="5">
        <f>146618+1055</f>
        <v>147673</v>
      </c>
      <c r="C31" s="5">
        <f>146618+1083</f>
        <v>147701</v>
      </c>
      <c r="D31" s="5">
        <f>146618+1090</f>
        <v>147708</v>
      </c>
      <c r="E31" s="5"/>
      <c r="F31" s="5"/>
      <c r="G31" s="5"/>
      <c r="H31" s="5"/>
      <c r="I31" s="5"/>
      <c r="J31" s="5"/>
      <c r="K31" s="5"/>
      <c r="L31" s="5"/>
      <c r="M31" s="6"/>
      <c r="N31" s="10"/>
    </row>
    <row r="32" spans="1:14" x14ac:dyDescent="0.25">
      <c r="A32" s="4" t="s">
        <v>6</v>
      </c>
      <c r="B32" s="5">
        <f>132866+378672</f>
        <v>511538</v>
      </c>
      <c r="C32" s="5">
        <f>133007+379105</f>
        <v>512112</v>
      </c>
      <c r="D32" s="5">
        <f>376822+132836</f>
        <v>509658</v>
      </c>
      <c r="E32" s="5"/>
      <c r="F32" s="5"/>
      <c r="G32" s="5"/>
      <c r="H32" s="5"/>
      <c r="I32" s="5"/>
      <c r="J32" s="5"/>
      <c r="K32" s="5"/>
      <c r="L32" s="5"/>
      <c r="M32" s="6"/>
      <c r="N32" s="10"/>
    </row>
    <row r="33" spans="1:14" x14ac:dyDescent="0.25">
      <c r="A33" s="4" t="s">
        <v>7</v>
      </c>
      <c r="B33" s="5">
        <f>29840+20579</f>
        <v>50419</v>
      </c>
      <c r="C33" s="5">
        <f>20579+29815</f>
        <v>50394</v>
      </c>
      <c r="D33" s="5">
        <f>20579+29815</f>
        <v>50394</v>
      </c>
      <c r="E33" s="5"/>
      <c r="F33" s="5"/>
      <c r="G33" s="5"/>
      <c r="H33" s="5"/>
      <c r="I33" s="5"/>
      <c r="J33" s="5"/>
      <c r="K33" s="5"/>
      <c r="L33" s="5"/>
      <c r="M33" s="6"/>
      <c r="N33" s="10"/>
    </row>
    <row r="34" spans="1:14" ht="14.4" thickBot="1" x14ac:dyDescent="0.3">
      <c r="A34" s="4" t="s">
        <v>8</v>
      </c>
      <c r="B34" s="8">
        <f t="shared" ref="B34:M34" si="4">SUM(B29:B33)</f>
        <v>3983165</v>
      </c>
      <c r="C34" s="8">
        <f t="shared" si="4"/>
        <v>4070630</v>
      </c>
      <c r="D34" s="8">
        <f t="shared" si="4"/>
        <v>4131620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9">
        <f t="shared" si="4"/>
        <v>0</v>
      </c>
      <c r="N34" s="10"/>
    </row>
    <row r="35" spans="1:14" ht="15" thickTop="1" thickBot="1" x14ac:dyDescent="0.3">
      <c r="A35" s="22" t="s">
        <v>9</v>
      </c>
      <c r="B35" s="13">
        <f>B34-M23</f>
        <v>66278</v>
      </c>
      <c r="C35" s="13">
        <f>C34-B34</f>
        <v>87465</v>
      </c>
      <c r="D35" s="13">
        <f>D34-C34</f>
        <v>60990</v>
      </c>
      <c r="E35" s="13"/>
      <c r="F35" s="13"/>
      <c r="G35" s="13"/>
      <c r="H35" s="13"/>
      <c r="I35" s="13"/>
      <c r="J35" s="13"/>
      <c r="K35" s="13"/>
      <c r="L35" s="13"/>
      <c r="M35" s="14"/>
      <c r="N35" s="15">
        <f>SUM(B35:M35)</f>
        <v>214733</v>
      </c>
    </row>
    <row r="36" spans="1:14" ht="14.4" x14ac:dyDescent="0.3">
      <c r="A36" s="16" t="s">
        <v>10</v>
      </c>
      <c r="B36" s="17">
        <v>75787</v>
      </c>
      <c r="C36" s="17">
        <v>75094</v>
      </c>
      <c r="D36" s="17">
        <v>77742</v>
      </c>
      <c r="E36" s="17"/>
      <c r="F36" s="17"/>
      <c r="G36" s="17"/>
      <c r="H36" s="17"/>
      <c r="I36" s="17"/>
      <c r="J36" s="17"/>
      <c r="K36" s="17"/>
      <c r="L36" s="17"/>
      <c r="M36" s="17"/>
      <c r="N36" s="23"/>
    </row>
    <row r="37" spans="1:14" x14ac:dyDescent="0.25">
      <c r="A37" s="16" t="s">
        <v>11</v>
      </c>
      <c r="B37" s="21">
        <v>1022096</v>
      </c>
      <c r="C37" s="21">
        <v>1047334</v>
      </c>
      <c r="D37" s="21">
        <v>1090745</v>
      </c>
      <c r="E37" s="21"/>
      <c r="F37" s="21"/>
      <c r="G37" s="21"/>
      <c r="H37" s="21"/>
      <c r="I37" s="21"/>
      <c r="J37" s="21"/>
      <c r="K37" s="21"/>
      <c r="L37" s="21"/>
      <c r="M37" s="21"/>
      <c r="N37" s="10"/>
    </row>
    <row r="38" spans="1:14" x14ac:dyDescent="0.25">
      <c r="N38" s="10"/>
    </row>
  </sheetData>
  <printOptions horizontalCentered="1" verticalCentered="1"/>
  <pageMargins left="0" right="0" top="0" bottom="0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 (2)</vt:lpstr>
      <vt:lpstr>'Dashboard (2)'!Print_Area</vt:lpstr>
    </vt:vector>
  </TitlesOfParts>
  <Company>King's Daughters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Sturgill</dc:creator>
  <cp:lastModifiedBy>Becky Pyles</cp:lastModifiedBy>
  <dcterms:created xsi:type="dcterms:W3CDTF">2023-04-13T11:47:15Z</dcterms:created>
  <dcterms:modified xsi:type="dcterms:W3CDTF">2023-04-13T18:18:08Z</dcterms:modified>
</cp:coreProperties>
</file>